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C:\Users\fdelany\Desktop\"/>
    </mc:Choice>
  </mc:AlternateContent>
  <xr:revisionPtr revIDLastSave="0" documentId="13_ncr:1_{C926CE04-44D5-42ED-A7D9-26C1F5407E4B}" xr6:coauthVersionLast="47" xr6:coauthVersionMax="47" xr10:uidLastSave="{00000000-0000-0000-0000-000000000000}"/>
  <workbookProtection workbookAlgorithmName="SHA-512" workbookHashValue="muq//C8/7jLJyWCNxlKAl/Ti2mC2K782vnAZX4L0TlFaVpvcjNuqmNicDdfsSBnwE1v6bDPb9wX8dA7Jsi5hSw==" workbookSaltValue="e6SHhh5R/+51R2lYSg2hBQ==" workbookSpinCount="100000" lockStructure="1"/>
  <bookViews>
    <workbookView xWindow="-120" yWindow="-120" windowWidth="29040" windowHeight="15840" xr2:uid="{00000000-000D-0000-FFFF-FFFF00000000}"/>
  </bookViews>
  <sheets>
    <sheet name="Fee Calculator" sheetId="1" r:id="rId1"/>
  </sheets>
  <definedNames>
    <definedName name="_xlnm.Print_Area" localSheetId="0">'Fee Calculator'!$A$1:$F$33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8" i="1" l="1"/>
  <c r="F21" i="1" l="1"/>
  <c r="N11" i="1"/>
  <c r="N10" i="1"/>
  <c r="N9" i="1"/>
  <c r="C20" i="1"/>
  <c r="F11" i="1"/>
  <c r="F16" i="1"/>
  <c r="F12" i="1"/>
  <c r="S10" i="1" l="1"/>
  <c r="S9" i="1"/>
  <c r="U9" i="1"/>
  <c r="V9" i="1" s="1"/>
  <c r="C5" i="1"/>
  <c r="T10" i="1"/>
  <c r="U10" i="1" s="1"/>
  <c r="V10" i="1" s="1"/>
  <c r="C13" i="1"/>
  <c r="F9" i="1"/>
  <c r="N7" i="1"/>
  <c r="C23" i="1"/>
  <c r="C22" i="1"/>
  <c r="S11" i="1" l="1"/>
  <c r="T11" i="1"/>
  <c r="U11" i="1" s="1"/>
  <c r="V11" i="1" s="1"/>
  <c r="C12" i="1"/>
  <c r="C6" i="1" l="1"/>
  <c r="F10" i="1"/>
  <c r="F20" i="1" l="1"/>
  <c r="C11" i="1"/>
  <c r="F22" i="1" l="1"/>
  <c r="C9" i="1"/>
  <c r="F14" i="1" l="1"/>
  <c r="C10" i="1"/>
  <c r="C7" i="1" l="1"/>
  <c r="F18" i="1" l="1"/>
  <c r="C18" i="1"/>
  <c r="F17" i="1"/>
  <c r="C16" i="1"/>
  <c r="C15" i="1"/>
  <c r="F15" i="1"/>
  <c r="F13" i="1"/>
  <c r="F23" i="1"/>
  <c r="K7" i="1"/>
  <c r="F4" i="1"/>
  <c r="K9" i="1" l="1"/>
  <c r="K8" i="1"/>
  <c r="K14" i="1"/>
  <c r="K13" i="1"/>
  <c r="K12" i="1"/>
  <c r="C4" i="1" s="1"/>
  <c r="K11" i="1"/>
  <c r="K10" i="1"/>
  <c r="F5" i="1"/>
  <c r="F6" i="1" l="1"/>
  <c r="C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Green, Leonie</author>
  </authors>
  <commentList>
    <comment ref="N8" authorId="0" shapeId="0" xr:uid="{C83A30A4-799B-448E-8C4B-496455DFF4DC}">
      <text>
        <r>
          <rPr>
            <b/>
            <sz val="9"/>
            <color indexed="81"/>
            <rFont val="Tahoma"/>
            <charset val="1"/>
          </rPr>
          <t>Tier 1 - is 60% of total value fee for values of works between 0 - $5000 (using $480 as the base value fee from F&amp;C 22/23)</t>
        </r>
      </text>
    </comment>
    <comment ref="O8" authorId="0" shapeId="0" xr:uid="{7D47FA17-66E9-48B6-A492-0511E2E962C6}">
      <text>
        <r>
          <rPr>
            <b/>
            <sz val="9"/>
            <color indexed="81"/>
            <rFont val="Tahoma"/>
            <charset val="1"/>
          </rPr>
          <t xml:space="preserve">Tier 1 - from Fees &amp; Charges
Manually enter/update each year
</t>
        </r>
        <r>
          <rPr>
            <sz val="9"/>
            <color indexed="81"/>
            <rFont val="Tahoma"/>
            <family val="2"/>
          </rPr>
          <t>set fee for values of works between $0 -$5,000</t>
        </r>
      </text>
    </comment>
    <comment ref="N9" authorId="0" shapeId="0" xr:uid="{625CE958-2BFE-431D-A689-5C3CCD9CFDD1}">
      <text>
        <r>
          <rPr>
            <b/>
            <sz val="9"/>
            <color indexed="81"/>
            <rFont val="Tahoma"/>
            <charset val="1"/>
          </rPr>
          <t>Tier 2 - is $430 + .5% of the value of works between $5001 - $100,000</t>
        </r>
        <r>
          <rPr>
            <sz val="9"/>
            <color indexed="81"/>
            <rFont val="Tahoma"/>
            <charset val="1"/>
          </rPr>
          <t xml:space="preserve">
</t>
        </r>
      </text>
    </comment>
    <comment ref="O9" authorId="0" shapeId="0" xr:uid="{6289342A-2540-4EAC-B300-D4C73999C7B1}">
      <text>
        <r>
          <rPr>
            <b/>
            <sz val="9"/>
            <color indexed="81"/>
            <rFont val="Tahoma"/>
            <family val="2"/>
          </rPr>
          <t>Tier 2 - from Fees &amp; Charges
Manually enter/update each year</t>
        </r>
        <r>
          <rPr>
            <sz val="9"/>
            <color indexed="81"/>
            <rFont val="Tahoma"/>
            <charset val="1"/>
          </rPr>
          <t xml:space="preserve">
set fee for values of works between $5001 -$100,000
</t>
        </r>
      </text>
    </comment>
    <comment ref="N10" authorId="0" shapeId="0" xr:uid="{30EF527F-D942-4492-9E39-F412D78C1527}">
      <text>
        <r>
          <rPr>
            <b/>
            <sz val="9"/>
            <color indexed="81"/>
            <rFont val="Tahoma"/>
            <family val="2"/>
          </rPr>
          <t>Tier 3 - is $430 + .3% of the value of works between $100,001 - $250,000</t>
        </r>
      </text>
    </comment>
    <comment ref="O10" authorId="0" shapeId="0" xr:uid="{F2C5ACAE-456B-4CE9-8832-7D12D988A2E8}">
      <text>
        <r>
          <rPr>
            <b/>
            <sz val="9"/>
            <color indexed="81"/>
            <rFont val="Tahoma"/>
            <family val="2"/>
          </rPr>
          <t>Tier3 - from Fees &amp; Charges
Manually enter/update each year</t>
        </r>
        <r>
          <rPr>
            <sz val="9"/>
            <color indexed="81"/>
            <rFont val="Tahoma"/>
            <charset val="1"/>
          </rPr>
          <t xml:space="preserve">
set fee for values of works between $100,001 - $250,000
</t>
        </r>
      </text>
    </comment>
    <comment ref="N11" authorId="0" shapeId="0" xr:uid="{9BB3A44B-B632-4DED-8436-7E05D8940459}">
      <text>
        <r>
          <rPr>
            <b/>
            <sz val="9"/>
            <color indexed="81"/>
            <rFont val="Tahoma"/>
            <family val="2"/>
          </rPr>
          <t>Tier 4 - is $430 + .25% of the value of works between $250,001 - $9999999 etc</t>
        </r>
      </text>
    </comment>
    <comment ref="O11" authorId="0" shapeId="0" xr:uid="{B162DC7C-C5E2-44B5-AB0A-1BAEAE9F8B88}">
      <text>
        <r>
          <rPr>
            <sz val="9"/>
            <color indexed="81"/>
            <rFont val="Tahoma"/>
            <charset val="1"/>
          </rPr>
          <t>Tier 4 - from Fees &amp; Charges
Manually enter/update each year
set fee for values of works between $250,001 - $1,000,000</t>
        </r>
      </text>
    </comment>
    <comment ref="O12" authorId="0" shapeId="0" xr:uid="{9714FFE5-B7DB-4B9D-B68E-F64D8AACE3E9}">
      <text>
        <r>
          <rPr>
            <b/>
            <sz val="9"/>
            <color indexed="81"/>
            <rFont val="Tahoma"/>
            <charset val="1"/>
          </rPr>
          <t>Tier 5 - from Fees &amp; Charges
Manually enter/update each year</t>
        </r>
        <r>
          <rPr>
            <sz val="9"/>
            <color indexed="81"/>
            <rFont val="Tahoma"/>
            <charset val="1"/>
          </rPr>
          <t xml:space="preserve">
set fee for values of works between $1,000,001 – 9999999etc</t>
        </r>
      </text>
    </comment>
  </commentList>
</comments>
</file>

<file path=xl/sharedStrings.xml><?xml version="1.0" encoding="utf-8"?>
<sst xmlns="http://schemas.openxmlformats.org/spreadsheetml/2006/main" count="72" uniqueCount="72">
  <si>
    <t>DA CALCULATIONS (IGNORE)</t>
  </si>
  <si>
    <t>CC CALCULATIONS (IGNORE)</t>
  </si>
  <si>
    <t>DA</t>
  </si>
  <si>
    <t>CC CDC</t>
  </si>
  <si>
    <t>Planning Reform Fund</t>
  </si>
  <si>
    <t>Plan Reform Commission</t>
  </si>
  <si>
    <t>Nett DA Fee</t>
  </si>
  <si>
    <t>Fee</t>
  </si>
  <si>
    <t>Activity</t>
  </si>
  <si>
    <t>Long Service Levy</t>
  </si>
  <si>
    <t>Subdivision</t>
  </si>
  <si>
    <t>Strata Subdivision</t>
  </si>
  <si>
    <t>Value/No.</t>
  </si>
  <si>
    <t>Development</t>
  </si>
  <si>
    <t>TOTAL FEES PAYABLE</t>
  </si>
  <si>
    <t>Enter Data</t>
  </si>
  <si>
    <t>Applicant</t>
  </si>
  <si>
    <t>File</t>
  </si>
  <si>
    <t>Values</t>
  </si>
  <si>
    <t>Number of Inspections   (No.)</t>
  </si>
  <si>
    <t>Proposed Development</t>
  </si>
  <si>
    <t>Address</t>
  </si>
  <si>
    <t>Class 1 and 10 Buildings (No.)</t>
  </si>
  <si>
    <t>Land Use  (per application)</t>
  </si>
  <si>
    <t>Development Application No.</t>
  </si>
  <si>
    <t>Construction Certificate No.</t>
  </si>
  <si>
    <t>s305 Certificate (Water)</t>
  </si>
  <si>
    <t>No.</t>
  </si>
  <si>
    <t>Advertised Development</t>
  </si>
  <si>
    <t>*Fee excludes Inspection Fees</t>
  </si>
  <si>
    <t>CDC No.</t>
  </si>
  <si>
    <t>This file may be downloaded, saved and used to assist the applicant to estimate the fees payable for a proposed development or activity. All charges are subject to change and Council gives no guarantee that fees or valuations are accurate, these will be verified at time of lodgement. Fees are subject to change each financial year.</t>
  </si>
  <si>
    <t>Road Opening Permit</t>
  </si>
  <si>
    <t>**Or 50% of DA Fee if Less</t>
  </si>
  <si>
    <t xml:space="preserve">New Road: No. Additional Lots </t>
  </si>
  <si>
    <t xml:space="preserve"> </t>
  </si>
  <si>
    <t>LGA Calcs</t>
  </si>
  <si>
    <t xml:space="preserve">Value of Transportable Dwelling </t>
  </si>
  <si>
    <t>Swimming Pool Inspection s22D</t>
  </si>
  <si>
    <t>OSSM Application   (Number)*</t>
  </si>
  <si>
    <t>(N.O.W.) S4 Notification with DA (No.)*
(including inspection)</t>
  </si>
  <si>
    <t>(N.O.W.) S4 Notification no DA (No.)*
(no inspection)</t>
  </si>
  <si>
    <t>Solid Fuel Heater per App. (No.)*
includes processing application and final inspection. 
(No fee if heater included in CC)</t>
  </si>
  <si>
    <t>S4.55(1) Amt. Misdescription</t>
  </si>
  <si>
    <t>S4.55(1A) Amendment **</t>
  </si>
  <si>
    <t>For S4.55(2) Amendment see EP&amp;A Regs cl.258</t>
  </si>
  <si>
    <t>Building Information Certificate</t>
  </si>
  <si>
    <r>
      <t>Class 2 to 9 Buildings</t>
    </r>
    <r>
      <rPr>
        <sz val="8"/>
        <rFont val="Arial"/>
        <family val="2"/>
      </rPr>
      <t>-not exceeding 200sqm</t>
    </r>
  </si>
  <si>
    <t>former CC Formula =</t>
  </si>
  <si>
    <t>My (Leonies) calcs for checking</t>
  </si>
  <si>
    <r>
      <rPr>
        <b/>
        <sz val="10"/>
        <rFont val="Arial"/>
        <family val="2"/>
      </rPr>
      <t>Class 2-9</t>
    </r>
    <r>
      <rPr>
        <sz val="10"/>
        <rFont val="Arial"/>
        <family val="2"/>
      </rPr>
      <t xml:space="preserve">
4 Tier fee structure</t>
    </r>
  </si>
  <si>
    <r>
      <rPr>
        <b/>
        <sz val="10"/>
        <rFont val="Arial"/>
        <family val="2"/>
      </rPr>
      <t>Class 1 &amp; 10</t>
    </r>
    <r>
      <rPr>
        <sz val="10"/>
        <rFont val="Arial"/>
        <family val="2"/>
      </rPr>
      <t xml:space="preserve">
5 Tier Fee structure</t>
    </r>
  </si>
  <si>
    <t>New Fee structure from 1st July 2022</t>
  </si>
  <si>
    <r>
      <t>Value</t>
    </r>
    <r>
      <rPr>
        <sz val="10"/>
        <color indexed="9"/>
        <rFont val="Arial"/>
      </rPr>
      <t xml:space="preserve"> of Work DA  </t>
    </r>
  </si>
  <si>
    <t xml:space="preserve">Occupation Certificate </t>
  </si>
  <si>
    <t>Subdivision Certificate  - New Road</t>
  </si>
  <si>
    <t>No New Road No. of Additional Lots</t>
  </si>
  <si>
    <t>Number of Additional Lots</t>
  </si>
  <si>
    <t>Subdivision Certificate - No Road</t>
  </si>
  <si>
    <r>
      <t>Value</t>
    </r>
    <r>
      <rPr>
        <sz val="10"/>
        <rFont val="Arial"/>
      </rPr>
      <t xml:space="preserve"> of Work CDC or CC# - CL 1 &amp; 10</t>
    </r>
  </si>
  <si>
    <r>
      <t>Value</t>
    </r>
    <r>
      <rPr>
        <sz val="10"/>
        <rFont val="Arial"/>
      </rPr>
      <t xml:space="preserve"> of Work CDC or CC# - CL 2-9</t>
    </r>
  </si>
  <si>
    <t>CC Modification 50% CC Value</t>
  </si>
  <si>
    <t>S10.7 CDC Certificate</t>
  </si>
  <si>
    <t>Neighbour Notification</t>
  </si>
  <si>
    <t>Long Service Levy Formula =IF(B5&lt;250000,0,IF(B5&gt;=250000,B5*H8))+IF(B6&lt;250000,0,IF(B6&gt;=250000,B6*H8))</t>
  </si>
  <si>
    <t>Intergrated Dev/Concurrence</t>
  </si>
  <si>
    <t>Subdivision Certificate - Boundary Adjustment / or Strata</t>
  </si>
  <si>
    <t>## May incur $189.00 Insp. Fee(s)</t>
  </si>
  <si>
    <t>Total Number of Additional Lots * ##</t>
  </si>
  <si>
    <t>Version Date 25/07/2024</t>
  </si>
  <si>
    <t>Subdivision Works Certificate</t>
  </si>
  <si>
    <t>Snowy Valleys Council - Fee Calculator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</si>
</sst>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quot;$&quot;#,##0.00"/>
    <numFmt numFmtId="164" formatCode="&quot;$&quot;#,##0"/>
    <numFmt numFmtId="165" formatCode="&quot;$&quot;#,##0.00"/>
    <numFmt numFmtId="166" formatCode="0.000%"/>
  </numFmts>
  <fonts count="20" x14ac:knownFonts="1">
    <font>
      <sz val="10"/>
      <name val="Arial"/>
    </font>
    <font>
      <sz val="10"/>
      <name val="Arial"/>
    </font>
    <font>
      <sz val="8"/>
      <name val="Arial"/>
    </font>
    <font>
      <sz val="10"/>
      <color indexed="9"/>
      <name val="Arial"/>
    </font>
    <font>
      <b/>
      <sz val="12"/>
      <name val="Arial"/>
      <family val="2"/>
    </font>
    <font>
      <b/>
      <sz val="11"/>
      <name val="Arial"/>
      <family val="2"/>
    </font>
    <font>
      <b/>
      <i/>
      <sz val="11"/>
      <name val="Arial"/>
      <family val="2"/>
    </font>
    <font>
      <i/>
      <sz val="10"/>
      <name val="Arial"/>
      <family val="2"/>
    </font>
    <font>
      <b/>
      <sz val="10"/>
      <color indexed="9"/>
      <name val="Arial"/>
      <family val="2"/>
    </font>
    <font>
      <b/>
      <sz val="10"/>
      <name val="Arial"/>
      <family val="2"/>
    </font>
    <font>
      <sz val="10"/>
      <name val="Arial"/>
      <family val="2"/>
    </font>
    <font>
      <b/>
      <sz val="16"/>
      <color theme="0"/>
      <name val="Arial"/>
      <family val="2"/>
    </font>
    <font>
      <sz val="10"/>
      <color theme="0"/>
      <name val="Arial"/>
      <family val="2"/>
    </font>
    <font>
      <sz val="8"/>
      <name val="Arial"/>
      <family val="2"/>
    </font>
    <font>
      <sz val="10"/>
      <color indexed="9"/>
      <name val="Arial"/>
      <family val="2"/>
    </font>
    <font>
      <sz val="11"/>
      <color rgb="FF9C5700"/>
      <name val="Calibri"/>
      <family val="2"/>
      <scheme val="minor"/>
    </font>
    <font>
      <sz val="9"/>
      <color indexed="81"/>
      <name val="Tahoma"/>
      <charset val="1"/>
    </font>
    <font>
      <b/>
      <sz val="9"/>
      <color indexed="81"/>
      <name val="Tahoma"/>
      <charset val="1"/>
    </font>
    <font>
      <b/>
      <sz val="9"/>
      <color indexed="81"/>
      <name val="Tahoma"/>
      <family val="2"/>
    </font>
    <font>
      <sz val="9"/>
      <color indexed="81"/>
      <name val="Tahoma"/>
      <family val="2"/>
    </font>
  </fonts>
  <fills count="25">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indexed="41"/>
        <bgColor indexed="64"/>
      </patternFill>
    </fill>
    <fill>
      <patternFill patternType="solid">
        <fgColor indexed="50"/>
        <bgColor indexed="64"/>
      </patternFill>
    </fill>
    <fill>
      <patternFill patternType="solid">
        <fgColor indexed="46"/>
        <bgColor indexed="64"/>
      </patternFill>
    </fill>
    <fill>
      <patternFill patternType="solid">
        <fgColor indexed="47"/>
        <bgColor indexed="64"/>
      </patternFill>
    </fill>
    <fill>
      <patternFill patternType="solid">
        <fgColor indexed="45"/>
        <bgColor indexed="64"/>
      </patternFill>
    </fill>
    <fill>
      <patternFill patternType="solid">
        <fgColor indexed="43"/>
        <bgColor indexed="64"/>
      </patternFill>
    </fill>
    <fill>
      <patternFill patternType="solid">
        <fgColor rgb="FFFFFF00"/>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EB9C"/>
      </patternFill>
    </fill>
    <fill>
      <patternFill patternType="solid">
        <fgColor rgb="FF92D050"/>
        <bgColor indexed="64"/>
      </patternFill>
    </fill>
    <fill>
      <patternFill patternType="solid">
        <fgColor theme="9" tint="0.39997558519241921"/>
        <bgColor indexed="64"/>
      </patternFill>
    </fill>
    <fill>
      <patternFill patternType="solid">
        <fgColor rgb="FFFFFF99"/>
        <bgColor indexed="64"/>
      </patternFill>
    </fill>
    <fill>
      <patternFill patternType="solid">
        <fgColor rgb="FF00FFCC"/>
        <bgColor indexed="64"/>
      </patternFill>
    </fill>
    <fill>
      <patternFill patternType="solid">
        <fgColor rgb="FFCCFFFF"/>
        <bgColor indexed="64"/>
      </patternFill>
    </fill>
    <fill>
      <patternFill patternType="solid">
        <fgColor rgb="FFFF66CC"/>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bottom/>
      <diagonal/>
    </border>
  </borders>
  <cellStyleXfs count="2">
    <xf numFmtId="0" fontId="0" fillId="0" borderId="0"/>
    <xf numFmtId="0" fontId="15" fillId="18" borderId="0" applyNumberFormat="0" applyBorder="0" applyAlignment="0" applyProtection="0"/>
  </cellStyleXfs>
  <cellXfs count="130">
    <xf numFmtId="0" fontId="0" fillId="0" borderId="0" xfId="0"/>
    <xf numFmtId="0" fontId="0" fillId="0" borderId="0" xfId="0" applyProtection="1">
      <protection locked="0"/>
    </xf>
    <xf numFmtId="0" fontId="0" fillId="3" borderId="2" xfId="0" applyFill="1" applyBorder="1"/>
    <xf numFmtId="0" fontId="3" fillId="0" borderId="0" xfId="0" applyFont="1"/>
    <xf numFmtId="0" fontId="0" fillId="3" borderId="0" xfId="0" applyFill="1"/>
    <xf numFmtId="0" fontId="0" fillId="0" borderId="0" xfId="0" applyAlignment="1">
      <alignment horizontal="right"/>
    </xf>
    <xf numFmtId="0" fontId="3" fillId="5" borderId="0" xfId="0" applyFont="1" applyFill="1"/>
    <xf numFmtId="0" fontId="0" fillId="5" borderId="0" xfId="0" applyFill="1"/>
    <xf numFmtId="0" fontId="0" fillId="6" borderId="0" xfId="0" applyFill="1"/>
    <xf numFmtId="10" fontId="0" fillId="0" borderId="0" xfId="0" applyNumberFormat="1"/>
    <xf numFmtId="0" fontId="3" fillId="5" borderId="0" xfId="0" applyFont="1" applyFill="1" applyAlignment="1">
      <alignment horizontal="right"/>
    </xf>
    <xf numFmtId="0" fontId="0" fillId="7" borderId="0" xfId="0" applyFill="1"/>
    <xf numFmtId="166" fontId="0" fillId="0" borderId="0" xfId="0" applyNumberFormat="1"/>
    <xf numFmtId="0" fontId="4" fillId="0" borderId="0" xfId="0" applyFont="1"/>
    <xf numFmtId="0" fontId="5" fillId="0" borderId="0" xfId="0" applyFont="1"/>
    <xf numFmtId="0" fontId="4" fillId="0" borderId="2" xfId="0" applyFont="1" applyBorder="1"/>
    <xf numFmtId="0" fontId="4" fillId="0" borderId="2" xfId="0" applyFont="1" applyBorder="1" applyAlignment="1">
      <alignment horizontal="center"/>
    </xf>
    <xf numFmtId="0" fontId="8" fillId="5" borderId="7" xfId="0" applyFont="1" applyFill="1" applyBorder="1"/>
    <xf numFmtId="0" fontId="9" fillId="6" borderId="7" xfId="0" applyFont="1" applyFill="1" applyBorder="1"/>
    <xf numFmtId="0" fontId="0" fillId="8" borderId="7" xfId="0" applyFill="1" applyBorder="1"/>
    <xf numFmtId="0" fontId="0" fillId="9" borderId="2" xfId="0" applyFill="1" applyBorder="1"/>
    <xf numFmtId="0" fontId="4" fillId="10" borderId="2" xfId="0" applyFont="1" applyFill="1" applyBorder="1"/>
    <xf numFmtId="0" fontId="0" fillId="10" borderId="7" xfId="0" applyFill="1" applyBorder="1"/>
    <xf numFmtId="0" fontId="5" fillId="10" borderId="2" xfId="0" applyFont="1" applyFill="1" applyBorder="1"/>
    <xf numFmtId="0" fontId="4" fillId="11" borderId="2" xfId="0" applyFont="1" applyFill="1" applyBorder="1"/>
    <xf numFmtId="0" fontId="0" fillId="11" borderId="7" xfId="0" applyFill="1" applyBorder="1"/>
    <xf numFmtId="0" fontId="6" fillId="0" borderId="0" xfId="0" applyFont="1" applyAlignment="1">
      <alignment horizontal="right"/>
    </xf>
    <xf numFmtId="0" fontId="7" fillId="0" borderId="0" xfId="0" applyFont="1" applyAlignment="1">
      <alignment horizontal="right"/>
    </xf>
    <xf numFmtId="14" fontId="0" fillId="0" borderId="0" xfId="0" applyNumberFormat="1" applyAlignment="1">
      <alignment horizontal="right"/>
    </xf>
    <xf numFmtId="0" fontId="1" fillId="0" borderId="0" xfId="0" applyFont="1"/>
    <xf numFmtId="10" fontId="0" fillId="9" borderId="0" xfId="0" applyNumberFormat="1" applyFill="1"/>
    <xf numFmtId="0" fontId="0" fillId="10" borderId="0" xfId="0" applyFill="1"/>
    <xf numFmtId="1" fontId="0" fillId="0" borderId="0" xfId="0" applyNumberFormat="1"/>
    <xf numFmtId="1" fontId="4" fillId="0" borderId="0" xfId="0" applyNumberFormat="1" applyFont="1" applyAlignment="1">
      <alignment horizontal="center"/>
    </xf>
    <xf numFmtId="1" fontId="0" fillId="0" borderId="0" xfId="0" applyNumberFormat="1" applyAlignment="1">
      <alignment horizontal="right"/>
    </xf>
    <xf numFmtId="1" fontId="4" fillId="0" borderId="0" xfId="0" applyNumberFormat="1" applyFont="1"/>
    <xf numFmtId="0" fontId="0" fillId="12" borderId="3" xfId="0" applyFill="1" applyBorder="1"/>
    <xf numFmtId="0" fontId="6" fillId="2" borderId="2" xfId="0" applyFont="1" applyFill="1" applyBorder="1" applyAlignment="1">
      <alignment horizontal="center"/>
    </xf>
    <xf numFmtId="0" fontId="0" fillId="12" borderId="0" xfId="0" applyFill="1"/>
    <xf numFmtId="0" fontId="0" fillId="11" borderId="2" xfId="0" applyFill="1" applyBorder="1"/>
    <xf numFmtId="0" fontId="0" fillId="7" borderId="3" xfId="0" applyFill="1" applyBorder="1"/>
    <xf numFmtId="0" fontId="0" fillId="0" borderId="16" xfId="0" applyBorder="1" applyProtection="1">
      <protection locked="0"/>
    </xf>
    <xf numFmtId="0" fontId="0" fillId="0" borderId="17" xfId="0" applyBorder="1" applyProtection="1">
      <protection locked="0"/>
    </xf>
    <xf numFmtId="0" fontId="0" fillId="0" borderId="6" xfId="0" applyBorder="1" applyAlignment="1" applyProtection="1">
      <alignment horizontal="left"/>
      <protection locked="0"/>
    </xf>
    <xf numFmtId="0" fontId="10" fillId="0" borderId="0" xfId="0" applyFont="1" applyAlignment="1">
      <alignment horizontal="right"/>
    </xf>
    <xf numFmtId="0" fontId="10" fillId="0" borderId="0" xfId="0" applyFont="1"/>
    <xf numFmtId="0" fontId="10" fillId="12" borderId="0" xfId="0" applyFont="1" applyFill="1"/>
    <xf numFmtId="0" fontId="10" fillId="12" borderId="3" xfId="0" applyFont="1" applyFill="1" applyBorder="1"/>
    <xf numFmtId="0" fontId="10" fillId="7" borderId="3" xfId="0" applyFont="1" applyFill="1" applyBorder="1"/>
    <xf numFmtId="0" fontId="0" fillId="3" borderId="3" xfId="0" applyFill="1" applyBorder="1" applyAlignment="1">
      <alignment vertical="center"/>
    </xf>
    <xf numFmtId="0" fontId="0" fillId="0" borderId="0" xfId="0" applyAlignment="1">
      <alignment vertical="center"/>
    </xf>
    <xf numFmtId="0" fontId="10" fillId="7" borderId="23" xfId="0" applyFont="1" applyFill="1" applyBorder="1" applyAlignment="1">
      <alignment vertical="center"/>
    </xf>
    <xf numFmtId="0" fontId="10" fillId="10" borderId="8" xfId="0" applyFont="1" applyFill="1" applyBorder="1"/>
    <xf numFmtId="0" fontId="10" fillId="10" borderId="8" xfId="0" applyFont="1" applyFill="1" applyBorder="1" applyAlignment="1">
      <alignment vertical="center"/>
    </xf>
    <xf numFmtId="0" fontId="10" fillId="10" borderId="7" xfId="0" applyFont="1" applyFill="1" applyBorder="1"/>
    <xf numFmtId="0" fontId="10" fillId="3" borderId="7" xfId="0" applyFont="1" applyFill="1" applyBorder="1"/>
    <xf numFmtId="164" fontId="0" fillId="2" borderId="5" xfId="0" applyNumberFormat="1" applyFill="1" applyBorder="1" applyProtection="1">
      <protection locked="0"/>
    </xf>
    <xf numFmtId="164" fontId="0" fillId="2" borderId="1" xfId="0" applyNumberFormat="1" applyFill="1" applyBorder="1" applyProtection="1">
      <protection locked="0"/>
    </xf>
    <xf numFmtId="0" fontId="0" fillId="2" borderId="1" xfId="0" applyFill="1" applyBorder="1" applyProtection="1">
      <protection locked="0"/>
    </xf>
    <xf numFmtId="1" fontId="0" fillId="2" borderId="1" xfId="0" applyNumberFormat="1" applyFill="1" applyBorder="1" applyAlignment="1" applyProtection="1">
      <alignment horizontal="right"/>
      <protection locked="0"/>
    </xf>
    <xf numFmtId="1" fontId="0" fillId="2" borderId="1" xfId="0" applyNumberFormat="1" applyFill="1" applyBorder="1" applyProtection="1">
      <protection locked="0"/>
    </xf>
    <xf numFmtId="1" fontId="0" fillId="14" borderId="1" xfId="0" applyNumberFormat="1" applyFill="1" applyBorder="1" applyProtection="1">
      <protection locked="0"/>
    </xf>
    <xf numFmtId="1" fontId="0" fillId="2" borderId="18" xfId="0" applyNumberFormat="1" applyFill="1" applyBorder="1" applyProtection="1">
      <protection locked="0"/>
    </xf>
    <xf numFmtId="1" fontId="0" fillId="2" borderId="19" xfId="0" applyNumberFormat="1" applyFill="1" applyBorder="1" applyProtection="1">
      <protection locked="0"/>
    </xf>
    <xf numFmtId="1" fontId="0" fillId="2" borderId="14" xfId="0" applyNumberFormat="1" applyFill="1" applyBorder="1" applyProtection="1">
      <protection locked="0"/>
    </xf>
    <xf numFmtId="0" fontId="0" fillId="0" borderId="4" xfId="0" applyBorder="1" applyAlignment="1" applyProtection="1">
      <alignment horizontal="left"/>
      <protection locked="0"/>
    </xf>
    <xf numFmtId="0" fontId="0" fillId="0" borderId="2" xfId="0" applyBorder="1" applyProtection="1">
      <protection locked="0"/>
    </xf>
    <xf numFmtId="0" fontId="0" fillId="3" borderId="8" xfId="0" applyFill="1" applyBorder="1"/>
    <xf numFmtId="0" fontId="12" fillId="15" borderId="0" xfId="0" applyFont="1" applyFill="1" applyAlignment="1">
      <alignment vertical="center"/>
    </xf>
    <xf numFmtId="0" fontId="12" fillId="15" borderId="6" xfId="0" applyFont="1" applyFill="1" applyBorder="1" applyAlignment="1">
      <alignment vertical="center"/>
    </xf>
    <xf numFmtId="0" fontId="11" fillId="15" borderId="6" xfId="0" applyFont="1" applyFill="1" applyBorder="1" applyAlignment="1">
      <alignment vertical="center"/>
    </xf>
    <xf numFmtId="0" fontId="0" fillId="3" borderId="7" xfId="0" applyFill="1" applyBorder="1" applyAlignment="1">
      <alignment wrapText="1"/>
    </xf>
    <xf numFmtId="165" fontId="0" fillId="4" borderId="3" xfId="0" applyNumberFormat="1" applyFill="1" applyBorder="1"/>
    <xf numFmtId="0" fontId="14" fillId="0" borderId="0" xfId="0" quotePrefix="1" applyFont="1"/>
    <xf numFmtId="165" fontId="0" fillId="16" borderId="3" xfId="0" applyNumberFormat="1" applyFill="1" applyBorder="1"/>
    <xf numFmtId="165" fontId="0" fillId="16" borderId="2" xfId="0" applyNumberFormat="1" applyFill="1" applyBorder="1" applyAlignment="1">
      <alignment horizontal="right"/>
    </xf>
    <xf numFmtId="165" fontId="0" fillId="16" borderId="9" xfId="0" applyNumberFormat="1" applyFill="1" applyBorder="1" applyAlignment="1">
      <alignment horizontal="right"/>
    </xf>
    <xf numFmtId="165" fontId="0" fillId="16" borderId="9" xfId="0" applyNumberFormat="1" applyFill="1" applyBorder="1"/>
    <xf numFmtId="165" fontId="0" fillId="16" borderId="15" xfId="0" applyNumberFormat="1" applyFill="1" applyBorder="1"/>
    <xf numFmtId="165" fontId="0" fillId="16" borderId="0" xfId="0" applyNumberFormat="1" applyFill="1"/>
    <xf numFmtId="165" fontId="0" fillId="16" borderId="11" xfId="0" applyNumberFormat="1" applyFill="1" applyBorder="1"/>
    <xf numFmtId="165" fontId="0" fillId="16" borderId="2" xfId="0" applyNumberFormat="1" applyFill="1" applyBorder="1"/>
    <xf numFmtId="165" fontId="1" fillId="16" borderId="2" xfId="0" applyNumberFormat="1" applyFont="1" applyFill="1" applyBorder="1"/>
    <xf numFmtId="165" fontId="9" fillId="17" borderId="1" xfId="0" applyNumberFormat="1" applyFont="1" applyFill="1" applyBorder="1"/>
    <xf numFmtId="164" fontId="0" fillId="0" borderId="0" xfId="0" applyNumberFormat="1"/>
    <xf numFmtId="2" fontId="0" fillId="0" borderId="0" xfId="0" applyNumberFormat="1"/>
    <xf numFmtId="165" fontId="0" fillId="0" borderId="0" xfId="0" applyNumberFormat="1"/>
    <xf numFmtId="0" fontId="15" fillId="18" borderId="0" xfId="1" applyProtection="1"/>
    <xf numFmtId="0" fontId="0" fillId="6" borderId="26" xfId="0" applyFill="1" applyBorder="1"/>
    <xf numFmtId="0" fontId="0" fillId="6" borderId="21" xfId="0" applyFill="1" applyBorder="1" applyAlignment="1">
      <alignment horizontal="right"/>
    </xf>
    <xf numFmtId="164" fontId="0" fillId="6" borderId="26" xfId="0" applyNumberFormat="1" applyFill="1" applyBorder="1"/>
    <xf numFmtId="0" fontId="0" fillId="6" borderId="21" xfId="0" applyFill="1" applyBorder="1"/>
    <xf numFmtId="165" fontId="0" fillId="13" borderId="26" xfId="0" applyNumberFormat="1" applyFill="1" applyBorder="1"/>
    <xf numFmtId="165" fontId="0" fillId="6" borderId="26" xfId="0" applyNumberFormat="1" applyFill="1" applyBorder="1"/>
    <xf numFmtId="165" fontId="0" fillId="6" borderId="19" xfId="0" applyNumberFormat="1" applyFill="1" applyBorder="1"/>
    <xf numFmtId="0" fontId="0" fillId="6" borderId="27" xfId="0" applyFill="1" applyBorder="1"/>
    <xf numFmtId="0" fontId="10" fillId="19" borderId="3" xfId="0" applyFont="1" applyFill="1" applyBorder="1"/>
    <xf numFmtId="0" fontId="0" fillId="19" borderId="0" xfId="0" applyFill="1"/>
    <xf numFmtId="1" fontId="0" fillId="2" borderId="28" xfId="0" applyNumberFormat="1" applyFill="1" applyBorder="1" applyProtection="1">
      <protection locked="0"/>
    </xf>
    <xf numFmtId="165" fontId="1" fillId="16" borderId="23" xfId="0" applyNumberFormat="1" applyFont="1" applyFill="1" applyBorder="1"/>
    <xf numFmtId="0" fontId="0" fillId="20" borderId="0" xfId="0" applyFill="1"/>
    <xf numFmtId="0" fontId="0" fillId="21" borderId="0" xfId="0" applyFill="1"/>
    <xf numFmtId="0" fontId="0" fillId="22" borderId="0" xfId="0" applyFill="1"/>
    <xf numFmtId="0" fontId="0" fillId="23" borderId="0" xfId="0" applyFill="1"/>
    <xf numFmtId="0" fontId="10" fillId="23" borderId="3" xfId="0" applyFont="1" applyFill="1" applyBorder="1"/>
    <xf numFmtId="1" fontId="9" fillId="14" borderId="2" xfId="0" applyNumberFormat="1" applyFont="1" applyFill="1" applyBorder="1"/>
    <xf numFmtId="165" fontId="7" fillId="16" borderId="2" xfId="0" applyNumberFormat="1" applyFont="1" applyFill="1" applyBorder="1"/>
    <xf numFmtId="0" fontId="0" fillId="20" borderId="11" xfId="0" applyFill="1" applyBorder="1" applyAlignment="1">
      <alignment wrapText="1"/>
    </xf>
    <xf numFmtId="0" fontId="7" fillId="20" borderId="2" xfId="0" applyFont="1" applyFill="1" applyBorder="1" applyAlignment="1">
      <alignment wrapText="1"/>
    </xf>
    <xf numFmtId="0" fontId="0" fillId="2" borderId="22" xfId="0" applyFill="1" applyBorder="1" applyProtection="1">
      <protection locked="0"/>
    </xf>
    <xf numFmtId="0" fontId="10" fillId="11" borderId="2" xfId="0" applyFont="1" applyFill="1" applyBorder="1"/>
    <xf numFmtId="0" fontId="0" fillId="24" borderId="0" xfId="0" applyFill="1"/>
    <xf numFmtId="0" fontId="7" fillId="12" borderId="13" xfId="0" applyFont="1" applyFill="1" applyBorder="1" applyAlignment="1">
      <alignment vertical="center"/>
    </xf>
    <xf numFmtId="1" fontId="0" fillId="14" borderId="0" xfId="0" applyNumberFormat="1" applyFill="1"/>
    <xf numFmtId="7" fontId="7" fillId="16" borderId="2" xfId="0" applyNumberFormat="1" applyFont="1" applyFill="1" applyBorder="1"/>
    <xf numFmtId="0" fontId="10" fillId="7" borderId="2" xfId="0" applyFont="1" applyFill="1" applyBorder="1" applyAlignment="1">
      <alignment vertical="center"/>
    </xf>
    <xf numFmtId="0" fontId="10" fillId="0" borderId="0" xfId="0" applyFont="1" applyAlignment="1">
      <alignment vertical="center"/>
    </xf>
    <xf numFmtId="0" fontId="0" fillId="20" borderId="10" xfId="0" applyFill="1" applyBorder="1"/>
    <xf numFmtId="0" fontId="10" fillId="0" borderId="25" xfId="0" applyFont="1" applyBorder="1" applyAlignment="1">
      <alignment horizontal="center" wrapText="1"/>
    </xf>
    <xf numFmtId="0" fontId="10" fillId="0" borderId="21" xfId="0" applyFont="1" applyBorder="1" applyAlignment="1">
      <alignment horizontal="center" wrapText="1"/>
    </xf>
    <xf numFmtId="0" fontId="10" fillId="0" borderId="6" xfId="0" applyFont="1" applyBorder="1" applyAlignment="1">
      <alignment horizontal="center"/>
    </xf>
    <xf numFmtId="0" fontId="2" fillId="0" borderId="0" xfId="0" applyFont="1" applyAlignment="1">
      <alignment horizontal="left" wrapText="1"/>
    </xf>
    <xf numFmtId="0" fontId="4" fillId="0" borderId="19" xfId="0" applyFont="1" applyBorder="1" applyAlignment="1">
      <alignment horizontal="center"/>
    </xf>
    <xf numFmtId="0" fontId="4" fillId="0" borderId="22" xfId="0" applyFont="1" applyBorder="1" applyAlignment="1">
      <alignment horizontal="center"/>
    </xf>
    <xf numFmtId="0" fontId="7" fillId="0" borderId="12" xfId="0" applyFont="1" applyBorder="1" applyAlignment="1">
      <alignment horizontal="right"/>
    </xf>
    <xf numFmtId="0" fontId="7" fillId="0" borderId="11" xfId="0" applyFont="1" applyBorder="1" applyAlignment="1">
      <alignment horizontal="right"/>
    </xf>
    <xf numFmtId="0" fontId="7" fillId="0" borderId="20" xfId="0" applyFont="1" applyBorder="1" applyAlignment="1">
      <alignment horizontal="right"/>
    </xf>
    <xf numFmtId="0" fontId="7" fillId="0" borderId="0" xfId="0" applyFont="1" applyAlignment="1">
      <alignment horizontal="right"/>
    </xf>
    <xf numFmtId="0" fontId="10" fillId="0" borderId="24" xfId="0" applyFont="1" applyBorder="1" applyAlignment="1">
      <alignment horizontal="center" wrapText="1"/>
    </xf>
    <xf numFmtId="0" fontId="10" fillId="0" borderId="26" xfId="0" applyFont="1" applyBorder="1" applyAlignment="1">
      <alignment horizontal="center" wrapText="1"/>
    </xf>
  </cellXfs>
  <cellStyles count="2">
    <cellStyle name="Neutral" xfId="1" builtinId="28"/>
    <cellStyle name="Normal" xfId="0" builtinId="0"/>
  </cellStyles>
  <dxfs count="0"/>
  <tableStyles count="0" defaultTableStyle="TableStyleMedium2" defaultPivotStyle="PivotStyleLight16"/>
  <colors>
    <mruColors>
      <color rgb="FFFFFF99"/>
      <color rgb="FFCCFFFF"/>
      <color rgb="FFFF66CC"/>
      <color rgb="FFFF66FF"/>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41"/>
  <sheetViews>
    <sheetView tabSelected="1" workbookViewId="0">
      <selection activeCell="AD14" sqref="AD14"/>
    </sheetView>
  </sheetViews>
  <sheetFormatPr defaultRowHeight="12.75" x14ac:dyDescent="0.2"/>
  <cols>
    <col min="1" max="1" width="34.140625" style="1" customWidth="1"/>
    <col min="2" max="2" width="11.7109375" style="1" customWidth="1"/>
    <col min="3" max="3" width="13" style="1" customWidth="1"/>
    <col min="4" max="4" width="5.28515625" style="1" customWidth="1"/>
    <col min="5" max="5" width="28.7109375" style="1" customWidth="1"/>
    <col min="6" max="6" width="11.5703125" style="1" customWidth="1"/>
    <col min="7" max="7" width="6.28515625" style="1" hidden="1" customWidth="1"/>
    <col min="8" max="8" width="19.42578125" style="1" hidden="1" customWidth="1"/>
    <col min="9" max="9" width="12.7109375" style="1" hidden="1" customWidth="1"/>
    <col min="10" max="10" width="14" style="1" hidden="1" customWidth="1"/>
    <col min="11" max="11" width="0.140625" style="1" hidden="1" customWidth="1"/>
    <col min="12" max="12" width="16.7109375" style="1" hidden="1" customWidth="1"/>
    <col min="13" max="13" width="0.140625" style="1" hidden="1" customWidth="1"/>
    <col min="14" max="14" width="33.28515625" style="1" hidden="1" customWidth="1"/>
    <col min="15" max="15" width="19.7109375" style="1" hidden="1" customWidth="1"/>
    <col min="16" max="16" width="19.85546875" style="1" hidden="1" customWidth="1"/>
    <col min="17" max="17" width="0.140625" style="1" hidden="1" customWidth="1"/>
    <col min="18" max="18" width="26.28515625" style="1" hidden="1" customWidth="1"/>
    <col min="19" max="19" width="0.140625" style="1" hidden="1" customWidth="1"/>
    <col min="20" max="20" width="46.85546875" style="1" hidden="1" customWidth="1"/>
    <col min="21" max="21" width="8.42578125" style="1" hidden="1" customWidth="1"/>
    <col min="22" max="22" width="5.85546875" style="1" hidden="1" customWidth="1"/>
    <col min="23" max="23" width="5" style="1" hidden="1" customWidth="1"/>
    <col min="24" max="24" width="0.140625" style="1" hidden="1" customWidth="1"/>
    <col min="25" max="25" width="16.140625" style="1" customWidth="1"/>
    <col min="26" max="26" width="13.85546875" style="1" customWidth="1"/>
    <col min="27" max="27" width="9.140625" style="1" customWidth="1"/>
    <col min="28" max="16384" width="9.140625" style="1"/>
  </cols>
  <sheetData>
    <row r="1" spans="1:29" ht="33.75" customHeight="1" thickBot="1" x14ac:dyDescent="0.25">
      <c r="A1" s="70" t="s">
        <v>71</v>
      </c>
      <c r="B1" s="68"/>
      <c r="C1" s="69"/>
      <c r="D1" s="69"/>
      <c r="E1" s="69"/>
      <c r="F1" s="68"/>
      <c r="G1"/>
      <c r="H1"/>
      <c r="I1"/>
      <c r="J1" t="s">
        <v>35</v>
      </c>
      <c r="K1"/>
      <c r="L1" s="3"/>
      <c r="M1" s="3"/>
      <c r="N1"/>
      <c r="O1"/>
      <c r="P1"/>
      <c r="Q1"/>
      <c r="R1"/>
      <c r="S1"/>
      <c r="T1"/>
      <c r="U1"/>
      <c r="V1"/>
      <c r="W1"/>
      <c r="X1"/>
      <c r="Y1"/>
      <c r="Z1"/>
      <c r="AA1"/>
      <c r="AB1"/>
      <c r="AC1"/>
    </row>
    <row r="2" spans="1:29" ht="19.5" customHeight="1" x14ac:dyDescent="0.25">
      <c r="A2" s="13" t="s">
        <v>8</v>
      </c>
      <c r="B2" s="37" t="s">
        <v>15</v>
      </c>
      <c r="C2"/>
      <c r="D2" s="32"/>
      <c r="E2"/>
      <c r="F2"/>
      <c r="G2"/>
      <c r="H2"/>
      <c r="I2"/>
      <c r="J2" s="45" t="s">
        <v>48</v>
      </c>
      <c r="K2"/>
      <c r="L2" s="72"/>
      <c r="M2" s="73"/>
      <c r="N2"/>
      <c r="O2"/>
      <c r="P2"/>
      <c r="Q2"/>
      <c r="R2"/>
      <c r="S2"/>
      <c r="T2" t="s">
        <v>64</v>
      </c>
      <c r="U2"/>
      <c r="V2"/>
      <c r="W2"/>
      <c r="X2"/>
      <c r="Y2"/>
      <c r="Z2"/>
      <c r="AA2"/>
      <c r="AB2"/>
      <c r="AC2"/>
    </row>
    <row r="3" spans="1:29" ht="16.5" customHeight="1" thickBot="1" x14ac:dyDescent="0.3">
      <c r="A3" s="14" t="s">
        <v>13</v>
      </c>
      <c r="B3" s="15" t="s">
        <v>12</v>
      </c>
      <c r="C3" s="16" t="s">
        <v>7</v>
      </c>
      <c r="D3" s="33" t="s">
        <v>27</v>
      </c>
      <c r="E3" s="13"/>
      <c r="F3" s="13"/>
      <c r="G3"/>
      <c r="H3"/>
      <c r="I3"/>
      <c r="J3"/>
      <c r="K3" s="3"/>
      <c r="L3" s="3"/>
      <c r="M3" s="3"/>
      <c r="N3" s="120" t="s">
        <v>52</v>
      </c>
      <c r="O3" s="120"/>
      <c r="P3"/>
      <c r="Q3"/>
      <c r="R3"/>
      <c r="S3"/>
      <c r="T3"/>
      <c r="U3"/>
      <c r="V3"/>
      <c r="W3"/>
      <c r="X3"/>
      <c r="Y3"/>
      <c r="Z3"/>
      <c r="AA3"/>
      <c r="AB3"/>
      <c r="AC3"/>
    </row>
    <row r="4" spans="1:29" ht="16.5" customHeight="1" thickBot="1" x14ac:dyDescent="0.3">
      <c r="A4" s="17" t="s">
        <v>53</v>
      </c>
      <c r="B4" s="56"/>
      <c r="C4" s="74">
        <f>IF(K7&lt;=0,0,IF(K7&lt;=5000,143.6,IF(50000&gt;=K7,K9,IF(250000&gt;=K7,K10,IF(500000&gt;=K7,K11,IF(1000000&gt;=K7,K12,IF(10000000&gt;=K7,K13,IF(K7&gt;=10000001,K14,))))))))</f>
        <v>0</v>
      </c>
      <c r="D4" s="33"/>
      <c r="E4" s="2" t="s">
        <v>4</v>
      </c>
      <c r="F4" s="81">
        <f>IF(B4&lt;50000,0,IF(B4&gt;=50000,B4*0.00064))</f>
        <v>0</v>
      </c>
      <c r="G4"/>
      <c r="H4"/>
      <c r="I4"/>
      <c r="J4"/>
      <c r="K4" s="3"/>
      <c r="L4" s="3"/>
      <c r="M4" s="3"/>
      <c r="N4" s="128" t="s">
        <v>50</v>
      </c>
      <c r="O4" s="118" t="s">
        <v>51</v>
      </c>
      <c r="P4"/>
      <c r="Q4"/>
      <c r="R4"/>
      <c r="S4"/>
      <c r="T4"/>
      <c r="U4"/>
      <c r="V4"/>
      <c r="W4"/>
      <c r="X4"/>
      <c r="Y4"/>
      <c r="Z4"/>
      <c r="AA4"/>
      <c r="AB4"/>
      <c r="AC4"/>
    </row>
    <row r="5" spans="1:29" ht="16.5" customHeight="1" thickBot="1" x14ac:dyDescent="0.25">
      <c r="A5" s="18" t="s">
        <v>59</v>
      </c>
      <c r="B5" s="57"/>
      <c r="C5" s="74">
        <f>IF(B5&lt;=0,0,IF(B5&lt;5001,O8,IF(100000&gt;=B5,O9,IF(250000&gt;=B5,O10,IF(1000000&gt;=B5,O11,IF(B5&gt;=1000001,O12))))))</f>
        <v>0</v>
      </c>
      <c r="D5" s="34"/>
      <c r="E5" s="2" t="s">
        <v>5</v>
      </c>
      <c r="F5" s="81">
        <f>IF(F4&gt;0,5,0)</f>
        <v>0</v>
      </c>
      <c r="G5"/>
      <c r="H5"/>
      <c r="I5"/>
      <c r="J5"/>
      <c r="K5"/>
      <c r="L5" s="3"/>
      <c r="M5" s="3"/>
      <c r="N5" s="129"/>
      <c r="O5" s="119"/>
      <c r="P5"/>
      <c r="Q5"/>
      <c r="R5"/>
      <c r="S5"/>
      <c r="T5"/>
      <c r="U5"/>
      <c r="V5"/>
      <c r="W5"/>
      <c r="X5"/>
      <c r="Y5"/>
      <c r="Z5"/>
      <c r="AA5"/>
      <c r="AB5"/>
      <c r="AC5"/>
    </row>
    <row r="6" spans="1:29" ht="16.5" customHeight="1" thickBot="1" x14ac:dyDescent="0.25">
      <c r="A6" s="18" t="s">
        <v>60</v>
      </c>
      <c r="B6" s="57"/>
      <c r="C6" s="74">
        <f>IF(B6&lt;=0,0,IF(B6&lt;5001,N8,IF(100000&gt;=B6,N9,IF(B6&lt;=250000,N10,IF(B6&gt;=250001,N11)))))</f>
        <v>0</v>
      </c>
      <c r="D6" s="32"/>
      <c r="E6" s="2" t="s">
        <v>6</v>
      </c>
      <c r="F6" s="81">
        <f>IF(F4&lt;=0,0,C4-F4-F5)</f>
        <v>0</v>
      </c>
      <c r="G6"/>
      <c r="H6" s="5" t="s">
        <v>18</v>
      </c>
      <c r="I6"/>
      <c r="J6"/>
      <c r="K6" s="6" t="s">
        <v>0</v>
      </c>
      <c r="L6" s="7"/>
      <c r="M6" s="7"/>
      <c r="N6" s="88" t="s">
        <v>1</v>
      </c>
      <c r="O6" s="89"/>
      <c r="P6" s="8"/>
      <c r="Q6" t="s">
        <v>36</v>
      </c>
      <c r="R6"/>
      <c r="S6"/>
      <c r="T6"/>
      <c r="U6"/>
      <c r="V6"/>
      <c r="W6"/>
      <c r="X6"/>
      <c r="Y6"/>
      <c r="Z6"/>
      <c r="AA6"/>
      <c r="AB6"/>
      <c r="AC6"/>
    </row>
    <row r="7" spans="1:29" ht="16.5" customHeight="1" thickBot="1" x14ac:dyDescent="0.25">
      <c r="A7" s="19" t="s">
        <v>19</v>
      </c>
      <c r="B7" s="58"/>
      <c r="C7" s="74">
        <f>B7*H7</f>
        <v>0</v>
      </c>
      <c r="D7" s="32"/>
      <c r="G7"/>
      <c r="H7" s="4">
        <v>189</v>
      </c>
      <c r="I7"/>
      <c r="J7"/>
      <c r="K7" s="6">
        <f>CEILING(B4,1000)</f>
        <v>0</v>
      </c>
      <c r="L7" s="7"/>
      <c r="M7" s="7"/>
      <c r="N7" s="90">
        <f>B6</f>
        <v>0</v>
      </c>
      <c r="O7" s="91"/>
      <c r="P7" s="8"/>
      <c r="Q7" s="102">
        <v>569</v>
      </c>
      <c r="R7"/>
      <c r="S7"/>
      <c r="T7"/>
      <c r="U7"/>
      <c r="V7"/>
      <c r="W7"/>
      <c r="X7"/>
      <c r="Y7"/>
      <c r="Z7"/>
      <c r="AA7"/>
      <c r="AB7"/>
      <c r="AC7"/>
    </row>
    <row r="8" spans="1:29" ht="16.5" customHeight="1" thickBot="1" x14ac:dyDescent="0.3">
      <c r="A8" s="20" t="s">
        <v>9</v>
      </c>
      <c r="B8" s="29"/>
      <c r="C8" s="75"/>
      <c r="D8" s="35"/>
      <c r="E8"/>
      <c r="F8"/>
      <c r="G8"/>
      <c r="H8" s="30">
        <v>2.5000000000000001E-3</v>
      </c>
      <c r="I8"/>
      <c r="J8"/>
      <c r="K8" s="10">
        <f>IF(K7&lt;=5000,143.6)</f>
        <v>143.6</v>
      </c>
      <c r="L8" s="3"/>
      <c r="M8" s="3"/>
      <c r="N8" s="92">
        <f>451*0.6</f>
        <v>270.59999999999997</v>
      </c>
      <c r="O8" s="91">
        <v>499</v>
      </c>
      <c r="P8" s="8"/>
      <c r="Q8" s="102">
        <v>697</v>
      </c>
      <c r="R8"/>
      <c r="S8" t="s">
        <v>49</v>
      </c>
      <c r="T8"/>
      <c r="V8"/>
      <c r="W8"/>
      <c r="X8"/>
      <c r="Y8"/>
      <c r="Z8"/>
      <c r="AA8"/>
      <c r="AB8"/>
      <c r="AC8"/>
    </row>
    <row r="9" spans="1:29" ht="16.5" customHeight="1" thickBot="1" x14ac:dyDescent="0.3">
      <c r="A9" s="55" t="s">
        <v>39</v>
      </c>
      <c r="B9" s="58"/>
      <c r="C9" s="76">
        <f>B9*H9</f>
        <v>0</v>
      </c>
      <c r="D9" s="59"/>
      <c r="E9" s="96" t="s">
        <v>54</v>
      </c>
      <c r="F9" s="82">
        <f>D9*I9</f>
        <v>0</v>
      </c>
      <c r="G9"/>
      <c r="H9" s="4">
        <v>380</v>
      </c>
      <c r="I9" s="97">
        <v>279</v>
      </c>
      <c r="J9"/>
      <c r="K9" s="6">
        <f>220.41+((K7-5000)/1000*3)</f>
        <v>205.41</v>
      </c>
      <c r="L9" s="3"/>
      <c r="M9" s="3"/>
      <c r="N9" s="92">
        <f>ROUND(SUM((N7)*0.005)+451,0)</f>
        <v>451</v>
      </c>
      <c r="O9" s="91">
        <v>905</v>
      </c>
      <c r="P9" s="8"/>
      <c r="Q9"/>
      <c r="R9"/>
      <c r="S9" s="87">
        <f>ROUND(SUM((100000-5001)*0.005)+430,0)</f>
        <v>905</v>
      </c>
      <c r="T9">
        <v>94999</v>
      </c>
      <c r="U9" s="85">
        <f>T9*0.005</f>
        <v>474.995</v>
      </c>
      <c r="V9" s="86">
        <f>U9+430</f>
        <v>904.995</v>
      </c>
      <c r="W9"/>
      <c r="X9"/>
      <c r="Y9"/>
      <c r="Z9"/>
      <c r="AA9"/>
      <c r="AB9"/>
      <c r="AC9"/>
    </row>
    <row r="10" spans="1:29" ht="55.5" customHeight="1" thickBot="1" x14ac:dyDescent="0.3">
      <c r="A10" s="71" t="s">
        <v>42</v>
      </c>
      <c r="B10" s="58"/>
      <c r="C10" s="77">
        <f>B10*(H10)</f>
        <v>0</v>
      </c>
      <c r="D10" s="98"/>
      <c r="E10" s="107" t="s">
        <v>66</v>
      </c>
      <c r="F10" s="99">
        <f>D10*I10</f>
        <v>0</v>
      </c>
      <c r="G10"/>
      <c r="H10" s="4">
        <v>122</v>
      </c>
      <c r="I10" s="100">
        <v>367</v>
      </c>
      <c r="J10"/>
      <c r="K10" s="6">
        <f>458.64+((K7-50000)/1000*3.64)</f>
        <v>276.64</v>
      </c>
      <c r="L10" s="3"/>
      <c r="M10" s="3"/>
      <c r="N10" s="93">
        <f>ROUND(SUM((N7)*0.003)+451,0)</f>
        <v>451</v>
      </c>
      <c r="O10" s="91">
        <v>1446</v>
      </c>
      <c r="P10" s="8"/>
      <c r="Q10"/>
      <c r="R10"/>
      <c r="S10" s="87">
        <f>ROUND(SUM((250000-100001)*0.003)+430,0)</f>
        <v>880</v>
      </c>
      <c r="T10">
        <f>250000-100001</f>
        <v>149999</v>
      </c>
      <c r="U10" s="85">
        <f>T10*0.003</f>
        <v>449.99700000000001</v>
      </c>
      <c r="V10" s="85">
        <f>U10+430</f>
        <v>879.99700000000007</v>
      </c>
      <c r="W10"/>
      <c r="X10"/>
      <c r="Y10"/>
      <c r="Z10"/>
      <c r="AA10"/>
      <c r="AB10"/>
      <c r="AC10"/>
    </row>
    <row r="11" spans="1:29" ht="27.75" customHeight="1" thickBot="1" x14ac:dyDescent="0.3">
      <c r="A11" s="71" t="s">
        <v>40</v>
      </c>
      <c r="B11" s="58"/>
      <c r="C11" s="74">
        <f>B11*(H11)</f>
        <v>0</v>
      </c>
      <c r="D11" s="105"/>
      <c r="E11" s="108" t="s">
        <v>55</v>
      </c>
      <c r="F11" s="106">
        <f>IF(D11&lt;=0,0,(D11*I11)+367)</f>
        <v>0</v>
      </c>
      <c r="G11"/>
      <c r="H11" s="4">
        <v>183</v>
      </c>
      <c r="I11" s="100">
        <v>90</v>
      </c>
      <c r="J11"/>
      <c r="K11" s="6">
        <f>1509.5+((K7-250000)/1000*2.34)</f>
        <v>924.5</v>
      </c>
      <c r="L11"/>
      <c r="M11"/>
      <c r="N11" s="93">
        <f>(($N$7)*0.0025)+451</f>
        <v>451</v>
      </c>
      <c r="O11" s="91">
        <v>2080</v>
      </c>
      <c r="P11" s="8"/>
      <c r="Q11"/>
      <c r="R11"/>
      <c r="S11" s="87">
        <f>ROUND(SUM((N7-250001)*0.0025)+430,0)</f>
        <v>-195</v>
      </c>
      <c r="T11" s="84">
        <f>N7-250001</f>
        <v>-250001</v>
      </c>
      <c r="U11" s="85">
        <f>T11*0.0025</f>
        <v>-625.00250000000005</v>
      </c>
      <c r="V11" s="85">
        <f>U11+430</f>
        <v>-195.00250000000005</v>
      </c>
      <c r="W11"/>
      <c r="X11"/>
      <c r="Y11"/>
      <c r="Z11"/>
      <c r="AA11"/>
      <c r="AB11"/>
      <c r="AC11"/>
    </row>
    <row r="12" spans="1:29" ht="27.75" customHeight="1" thickBot="1" x14ac:dyDescent="0.25">
      <c r="A12" s="71" t="s">
        <v>41</v>
      </c>
      <c r="B12" s="58"/>
      <c r="C12" s="78">
        <f>B12*(33)</f>
        <v>0</v>
      </c>
      <c r="D12" s="113"/>
      <c r="E12" s="112" t="s">
        <v>63</v>
      </c>
      <c r="F12" s="114">
        <f>D12*I12</f>
        <v>0</v>
      </c>
      <c r="G12"/>
      <c r="H12" s="100">
        <v>65</v>
      </c>
      <c r="I12" s="101">
        <v>180</v>
      </c>
      <c r="J12"/>
      <c r="K12" s="6">
        <f>2272+((K7-500000)/1000*1.64)</f>
        <v>1452</v>
      </c>
      <c r="L12"/>
      <c r="M12"/>
      <c r="N12" s="94"/>
      <c r="O12" s="95">
        <v>3640</v>
      </c>
      <c r="P12" s="8"/>
      <c r="Q12"/>
      <c r="R12"/>
      <c r="S12"/>
      <c r="T12"/>
      <c r="V12"/>
      <c r="W12"/>
      <c r="X12"/>
      <c r="Y12"/>
      <c r="Z12"/>
      <c r="AA12"/>
      <c r="AB12"/>
      <c r="AC12"/>
    </row>
    <row r="13" spans="1:29" ht="16.5" customHeight="1" thickBot="1" x14ac:dyDescent="0.25">
      <c r="A13" s="67" t="s">
        <v>37</v>
      </c>
      <c r="B13" s="57"/>
      <c r="C13" s="78">
        <f>IF(B13=0,0,IF(B13&lt;=150000,Q7,IF(B13&gt;150000,Q8)))</f>
        <v>0</v>
      </c>
      <c r="D13" s="60"/>
      <c r="E13" s="36" t="s">
        <v>28</v>
      </c>
      <c r="F13" s="82">
        <f>D13*I13</f>
        <v>0</v>
      </c>
      <c r="G13"/>
      <c r="H13" s="100">
        <v>429.7</v>
      </c>
      <c r="I13" s="101">
        <v>1438.25</v>
      </c>
      <c r="J13"/>
      <c r="K13" s="6">
        <f>3404.17+((K7-1000000)/1000*1.44)</f>
        <v>1964.17</v>
      </c>
      <c r="L13"/>
      <c r="M13"/>
      <c r="N13"/>
      <c r="O13"/>
      <c r="P13"/>
      <c r="Q13"/>
      <c r="R13"/>
      <c r="S13"/>
      <c r="T13"/>
      <c r="V13"/>
      <c r="W13"/>
      <c r="X13"/>
      <c r="Y13"/>
      <c r="Z13"/>
      <c r="AA13"/>
      <c r="AB13"/>
      <c r="AC13"/>
    </row>
    <row r="14" spans="1:29" ht="19.5" customHeight="1" thickBot="1" x14ac:dyDescent="0.3">
      <c r="A14" s="21" t="s">
        <v>10</v>
      </c>
      <c r="B14"/>
      <c r="C14" s="79"/>
      <c r="D14" s="61"/>
      <c r="E14" s="46" t="s">
        <v>32</v>
      </c>
      <c r="F14" s="82">
        <f>D14*I14</f>
        <v>0</v>
      </c>
      <c r="G14"/>
      <c r="H14" s="31">
        <v>53</v>
      </c>
      <c r="I14" s="101">
        <v>366</v>
      </c>
      <c r="J14"/>
      <c r="K14" s="6">
        <f>20666.58+((K7-10000000)/1000*1.19)</f>
        <v>8766.5800000000017</v>
      </c>
      <c r="L14"/>
      <c r="M14"/>
      <c r="N14"/>
      <c r="O14"/>
      <c r="P14"/>
      <c r="Q14"/>
      <c r="R14"/>
      <c r="S14"/>
      <c r="T14"/>
      <c r="U14"/>
      <c r="V14"/>
      <c r="W14"/>
      <c r="X14"/>
      <c r="Y14"/>
      <c r="Z14"/>
      <c r="AA14"/>
      <c r="AB14"/>
      <c r="AC14"/>
    </row>
    <row r="15" spans="1:29" ht="16.5" customHeight="1" thickBot="1" x14ac:dyDescent="0.25">
      <c r="A15" s="22" t="s">
        <v>56</v>
      </c>
      <c r="B15" s="58"/>
      <c r="C15" s="77">
        <f>IF(B15&lt;=0,I17,H13+($B$15*$H$14))</f>
        <v>0</v>
      </c>
      <c r="D15" s="60"/>
      <c r="E15" s="36" t="s">
        <v>23</v>
      </c>
      <c r="F15" s="82">
        <f>D15*J15</f>
        <v>0</v>
      </c>
      <c r="G15"/>
      <c r="H15" s="31">
        <v>429.7</v>
      </c>
      <c r="I15" s="101">
        <v>182.56</v>
      </c>
      <c r="J15" s="38">
        <v>370.7</v>
      </c>
      <c r="K15"/>
      <c r="L15"/>
      <c r="M15"/>
      <c r="N15"/>
      <c r="O15"/>
      <c r="P15"/>
      <c r="Q15"/>
      <c r="R15"/>
      <c r="S15"/>
      <c r="T15"/>
      <c r="U15"/>
      <c r="V15"/>
      <c r="W15"/>
      <c r="X15"/>
      <c r="Y15"/>
      <c r="Z15"/>
      <c r="AA15"/>
      <c r="AB15"/>
      <c r="AC15"/>
    </row>
    <row r="16" spans="1:29" ht="16.5" customHeight="1" thickBot="1" x14ac:dyDescent="0.25">
      <c r="A16" s="54" t="s">
        <v>34</v>
      </c>
      <c r="B16" s="58"/>
      <c r="C16" s="77">
        <f>IF(B16&lt;=0,I16,H16+($B$16*$H$17))</f>
        <v>0</v>
      </c>
      <c r="D16" s="60"/>
      <c r="E16" s="47" t="s">
        <v>65</v>
      </c>
      <c r="F16" s="82">
        <f>D16*I15</f>
        <v>0</v>
      </c>
      <c r="G16"/>
      <c r="H16" s="31">
        <v>864.96</v>
      </c>
      <c r="I16" s="11">
        <v>0</v>
      </c>
      <c r="J16">
        <v>143.6</v>
      </c>
      <c r="K16">
        <v>5000</v>
      </c>
      <c r="L16">
        <v>50000</v>
      </c>
      <c r="M16"/>
      <c r="N16">
        <v>250000</v>
      </c>
      <c r="O16"/>
      <c r="P16">
        <v>500000</v>
      </c>
      <c r="Q16"/>
      <c r="R16">
        <v>1000000</v>
      </c>
      <c r="S16"/>
      <c r="T16"/>
      <c r="U16">
        <v>10000000</v>
      </c>
      <c r="V16"/>
      <c r="W16"/>
      <c r="X16"/>
      <c r="Y16"/>
      <c r="Z16"/>
      <c r="AA16"/>
      <c r="AB16"/>
      <c r="AC16"/>
    </row>
    <row r="17" spans="1:29" ht="18.75" customHeight="1" thickBot="1" x14ac:dyDescent="0.3">
      <c r="A17" s="23" t="s">
        <v>11</v>
      </c>
      <c r="B17"/>
      <c r="C17" s="79"/>
      <c r="D17" s="60"/>
      <c r="E17" s="40" t="s">
        <v>43</v>
      </c>
      <c r="F17" s="82">
        <f>D17*I18</f>
        <v>0</v>
      </c>
      <c r="G17"/>
      <c r="H17" s="31">
        <v>0</v>
      </c>
      <c r="I17" s="11">
        <v>0</v>
      </c>
      <c r="J17" t="s">
        <v>2</v>
      </c>
      <c r="K17">
        <v>143.6</v>
      </c>
      <c r="L17">
        <v>220.41</v>
      </c>
      <c r="M17" s="12">
        <v>3.0000000000000001E-3</v>
      </c>
      <c r="N17">
        <v>458.64</v>
      </c>
      <c r="O17" s="12">
        <v>3.64E-3</v>
      </c>
      <c r="P17">
        <v>1509.5</v>
      </c>
      <c r="Q17" s="12">
        <v>2.3400000000000001E-3</v>
      </c>
      <c r="R17">
        <v>2272</v>
      </c>
      <c r="S17" s="12">
        <v>1.64E-3</v>
      </c>
      <c r="T17" s="12"/>
      <c r="U17">
        <v>3404.17</v>
      </c>
      <c r="V17" s="12">
        <v>1.4400000000000001E-3</v>
      </c>
      <c r="W17">
        <v>20666.580000000002</v>
      </c>
      <c r="X17" s="12">
        <v>1.1900000000000001E-3</v>
      </c>
      <c r="Y17"/>
      <c r="Z17"/>
      <c r="AA17"/>
      <c r="AB17"/>
      <c r="AC17"/>
    </row>
    <row r="18" spans="1:29" ht="16.5" customHeight="1" thickBot="1" x14ac:dyDescent="0.25">
      <c r="A18" s="22" t="s">
        <v>57</v>
      </c>
      <c r="B18" s="58"/>
      <c r="C18" s="77">
        <f>IF(B18&lt;=0,I19,H15+($B$18*$H$17))</f>
        <v>0</v>
      </c>
      <c r="D18" s="61"/>
      <c r="E18" s="48" t="s">
        <v>44</v>
      </c>
      <c r="F18" s="82">
        <f>D18*J18</f>
        <v>0</v>
      </c>
      <c r="G18"/>
      <c r="H18" s="31"/>
      <c r="I18" s="11">
        <v>92.4</v>
      </c>
      <c r="J18" s="103">
        <v>839.35</v>
      </c>
      <c r="K18"/>
      <c r="L18"/>
      <c r="M18"/>
      <c r="N18"/>
      <c r="O18"/>
      <c r="P18"/>
      <c r="Q18"/>
      <c r="R18"/>
      <c r="S18"/>
      <c r="T18"/>
      <c r="U18"/>
      <c r="V18"/>
      <c r="W18"/>
      <c r="X18"/>
      <c r="Y18"/>
      <c r="Z18"/>
      <c r="AA18"/>
      <c r="AB18"/>
      <c r="AC18"/>
    </row>
    <row r="19" spans="1:29" ht="18.75" customHeight="1" thickBot="1" x14ac:dyDescent="0.3">
      <c r="A19" s="23" t="s">
        <v>58</v>
      </c>
      <c r="B19"/>
      <c r="C19" s="79"/>
      <c r="D19" s="60"/>
      <c r="E19" s="40" t="s">
        <v>61</v>
      </c>
      <c r="F19" s="82"/>
      <c r="G19"/>
      <c r="H19" s="31">
        <v>70</v>
      </c>
      <c r="I19" s="11">
        <v>0</v>
      </c>
      <c r="J19" t="s">
        <v>3</v>
      </c>
      <c r="K19">
        <v>50</v>
      </c>
      <c r="L19" s="9">
        <v>5.0000000000000001E-3</v>
      </c>
      <c r="M19">
        <v>5000</v>
      </c>
      <c r="N19" s="9">
        <v>3.5000000000000001E-3</v>
      </c>
      <c r="O19">
        <v>95000</v>
      </c>
      <c r="P19" s="9">
        <v>2E-3</v>
      </c>
      <c r="Q19">
        <v>150000</v>
      </c>
      <c r="R19" s="9">
        <v>1E-3</v>
      </c>
      <c r="S19">
        <v>250000</v>
      </c>
      <c r="T19"/>
      <c r="U19"/>
      <c r="V19"/>
      <c r="W19"/>
      <c r="X19"/>
      <c r="Y19"/>
      <c r="Z19"/>
      <c r="AA19"/>
      <c r="AB19"/>
      <c r="AC19"/>
    </row>
    <row r="20" spans="1:29" ht="17.25" customHeight="1" thickBot="1" x14ac:dyDescent="0.25">
      <c r="A20" s="52" t="s">
        <v>68</v>
      </c>
      <c r="B20" s="58"/>
      <c r="C20" s="74">
        <f>IF(B20&lt;=0,0,(B20*H19)+367)</f>
        <v>0</v>
      </c>
      <c r="D20" s="62"/>
      <c r="E20" s="104" t="s">
        <v>26</v>
      </c>
      <c r="F20" s="82">
        <f>D20*H24</f>
        <v>0</v>
      </c>
      <c r="G20"/>
      <c r="H20" s="31">
        <v>0</v>
      </c>
      <c r="I20" s="11">
        <v>68.650000000000006</v>
      </c>
      <c r="J20"/>
      <c r="K20" s="9">
        <v>3.5000000000000001E-3</v>
      </c>
      <c r="L20"/>
      <c r="M20"/>
      <c r="N20"/>
      <c r="O20"/>
      <c r="P20"/>
      <c r="Q20"/>
      <c r="R20"/>
      <c r="S20"/>
      <c r="T20"/>
      <c r="U20"/>
      <c r="V20"/>
      <c r="W20"/>
      <c r="X20"/>
      <c r="Y20"/>
      <c r="Z20"/>
      <c r="AA20"/>
      <c r="AB20"/>
      <c r="AC20"/>
    </row>
    <row r="21" spans="1:29" ht="20.25" customHeight="1" thickBot="1" x14ac:dyDescent="0.3">
      <c r="A21" s="24" t="s">
        <v>46</v>
      </c>
      <c r="B21"/>
      <c r="C21" s="79"/>
      <c r="D21" s="61"/>
      <c r="E21" s="117" t="s">
        <v>70</v>
      </c>
      <c r="F21" s="82">
        <f>IF(D21&lt;=0,0,(D21*I25)+451)</f>
        <v>0</v>
      </c>
      <c r="G21"/>
      <c r="H21" s="111">
        <v>150</v>
      </c>
      <c r="I21">
        <v>0</v>
      </c>
      <c r="J21"/>
      <c r="K21"/>
      <c r="L21"/>
      <c r="M21"/>
      <c r="N21"/>
      <c r="O21"/>
      <c r="P21"/>
      <c r="Q21"/>
      <c r="R21"/>
      <c r="S21"/>
      <c r="T21"/>
      <c r="U21"/>
      <c r="V21"/>
      <c r="W21"/>
      <c r="X21"/>
      <c r="Y21"/>
      <c r="Z21"/>
      <c r="AA21"/>
      <c r="AB21"/>
      <c r="AC21"/>
    </row>
    <row r="22" spans="1:29" ht="16.5" customHeight="1" thickBot="1" x14ac:dyDescent="0.25">
      <c r="A22" s="25" t="s">
        <v>22</v>
      </c>
      <c r="B22" s="58"/>
      <c r="C22" s="74">
        <f>IF(B22&lt;=0,I17,B22*H22)</f>
        <v>0</v>
      </c>
      <c r="D22" s="63"/>
      <c r="E22" s="39" t="s">
        <v>38</v>
      </c>
      <c r="F22" s="82">
        <f>D22*H21</f>
        <v>0</v>
      </c>
      <c r="G22"/>
      <c r="H22" s="111">
        <v>250</v>
      </c>
      <c r="I22">
        <v>200</v>
      </c>
      <c r="J22">
        <v>2000</v>
      </c>
      <c r="K22">
        <v>102</v>
      </c>
      <c r="L22"/>
      <c r="M22"/>
      <c r="N22"/>
      <c r="O22"/>
      <c r="P22"/>
      <c r="Q22"/>
      <c r="R22"/>
      <c r="S22"/>
      <c r="T22"/>
      <c r="U22"/>
      <c r="V22"/>
      <c r="W22"/>
      <c r="X22"/>
      <c r="Y22"/>
      <c r="Z22"/>
      <c r="AA22"/>
      <c r="AB22"/>
      <c r="AC22"/>
    </row>
    <row r="23" spans="1:29" ht="16.5" customHeight="1" thickBot="1" x14ac:dyDescent="0.25">
      <c r="A23" s="110" t="s">
        <v>47</v>
      </c>
      <c r="B23" s="109"/>
      <c r="C23" s="80">
        <f>IF(B23&gt;J22,I23+((B23-J22)*J23),IF(B23&gt;I22,H22+((B23-I22)*H23),IF(B23&lt;=0,0,IF(B23&lt;=I22,H22))))</f>
        <v>0</v>
      </c>
      <c r="D23" s="64"/>
      <c r="E23" s="39" t="s">
        <v>62</v>
      </c>
      <c r="F23" s="82">
        <f>D23*H25</f>
        <v>0</v>
      </c>
      <c r="G23"/>
      <c r="H23" s="9">
        <v>0.5</v>
      </c>
      <c r="I23">
        <v>1165</v>
      </c>
      <c r="J23">
        <v>7.4999999999999997E-2</v>
      </c>
      <c r="K23"/>
      <c r="L23"/>
      <c r="M23"/>
      <c r="N23"/>
      <c r="O23"/>
      <c r="P23"/>
      <c r="Q23"/>
      <c r="R23"/>
      <c r="S23"/>
      <c r="T23"/>
      <c r="U23"/>
      <c r="V23"/>
      <c r="W23"/>
      <c r="X23"/>
      <c r="Y23"/>
      <c r="Z23"/>
      <c r="AA23"/>
      <c r="AB23"/>
      <c r="AC23"/>
    </row>
    <row r="24" spans="1:29" ht="22.5" customHeight="1" thickBot="1" x14ac:dyDescent="0.3">
      <c r="A24" s="122" t="s">
        <v>14</v>
      </c>
      <c r="B24" s="123"/>
      <c r="C24" s="83">
        <f>SUM(C4:C23)+SUM(F9:F23)</f>
        <v>0</v>
      </c>
      <c r="D24" s="32"/>
      <c r="E24"/>
      <c r="F24"/>
      <c r="G24"/>
      <c r="H24" s="103">
        <v>177</v>
      </c>
      <c r="I24"/>
      <c r="J24"/>
      <c r="K24">
        <v>95</v>
      </c>
      <c r="L24"/>
      <c r="M24"/>
      <c r="N24"/>
      <c r="O24"/>
      <c r="P24"/>
      <c r="Q24"/>
      <c r="R24"/>
      <c r="S24"/>
      <c r="T24"/>
      <c r="U24"/>
      <c r="V24"/>
      <c r="W24"/>
      <c r="X24"/>
      <c r="Y24"/>
      <c r="Z24"/>
      <c r="AA24"/>
      <c r="AB24"/>
      <c r="AC24"/>
    </row>
    <row r="25" spans="1:29" ht="19.5" customHeight="1" x14ac:dyDescent="0.2">
      <c r="A25" s="49" t="s">
        <v>29</v>
      </c>
      <c r="B25"/>
      <c r="C25"/>
      <c r="D25"/>
      <c r="E25" s="51" t="s">
        <v>33</v>
      </c>
      <c r="F25" s="50"/>
      <c r="G25"/>
      <c r="H25" s="111">
        <v>69.02</v>
      </c>
      <c r="I25" s="100">
        <v>190</v>
      </c>
      <c r="J25"/>
      <c r="K25">
        <v>24</v>
      </c>
      <c r="L25"/>
      <c r="M25"/>
      <c r="N25"/>
      <c r="O25"/>
      <c r="P25"/>
      <c r="Q25"/>
      <c r="R25"/>
      <c r="S25"/>
      <c r="T25"/>
      <c r="U25"/>
      <c r="V25"/>
      <c r="W25"/>
      <c r="X25"/>
      <c r="Y25"/>
      <c r="Z25"/>
      <c r="AA25"/>
      <c r="AB25"/>
      <c r="AC25"/>
    </row>
    <row r="26" spans="1:29" ht="19.5" customHeight="1" x14ac:dyDescent="0.2">
      <c r="A26" s="53" t="s">
        <v>67</v>
      </c>
      <c r="B26"/>
      <c r="C26"/>
      <c r="D26" s="116"/>
      <c r="E26" s="115" t="s">
        <v>45</v>
      </c>
      <c r="F26" s="50"/>
      <c r="G26"/>
      <c r="H26"/>
      <c r="I26"/>
      <c r="J26"/>
      <c r="K26">
        <v>55</v>
      </c>
      <c r="L26"/>
      <c r="M26"/>
      <c r="N26"/>
      <c r="O26"/>
      <c r="P26"/>
      <c r="Q26"/>
      <c r="R26"/>
      <c r="S26"/>
      <c r="T26"/>
      <c r="U26"/>
      <c r="V26"/>
      <c r="W26"/>
      <c r="X26"/>
      <c r="Y26"/>
      <c r="Z26"/>
      <c r="AA26"/>
      <c r="AB26"/>
      <c r="AC26"/>
    </row>
    <row r="27" spans="1:29" ht="19.5" customHeight="1" thickBot="1" x14ac:dyDescent="0.25">
      <c r="A27" s="26" t="s">
        <v>16</v>
      </c>
      <c r="B27" s="41"/>
      <c r="C27" s="41"/>
      <c r="D27" s="41"/>
      <c r="E27" s="41"/>
      <c r="F27" s="41"/>
      <c r="G27"/>
      <c r="H27"/>
      <c r="I27"/>
      <c r="J27"/>
      <c r="K27">
        <v>398</v>
      </c>
      <c r="L27">
        <v>455</v>
      </c>
      <c r="M27">
        <v>578</v>
      </c>
      <c r="N27">
        <v>622</v>
      </c>
      <c r="O27">
        <v>683</v>
      </c>
      <c r="P27">
        <v>103</v>
      </c>
      <c r="Q27"/>
      <c r="R27"/>
      <c r="S27"/>
      <c r="T27"/>
      <c r="U27"/>
      <c r="V27"/>
      <c r="W27"/>
      <c r="X27"/>
      <c r="Y27"/>
      <c r="Z27"/>
      <c r="AA27"/>
      <c r="AB27"/>
      <c r="AC27"/>
    </row>
    <row r="28" spans="1:29" ht="19.5" customHeight="1" x14ac:dyDescent="0.2">
      <c r="A28" s="26" t="s">
        <v>20</v>
      </c>
      <c r="B28" s="42"/>
      <c r="C28" s="42"/>
      <c r="D28" s="42"/>
      <c r="E28" s="42"/>
      <c r="F28" s="42"/>
      <c r="G28"/>
      <c r="H28"/>
      <c r="I28"/>
      <c r="J28"/>
      <c r="K28"/>
      <c r="L28"/>
      <c r="M28"/>
      <c r="N28"/>
      <c r="O28"/>
      <c r="P28"/>
      <c r="Q28"/>
      <c r="R28"/>
      <c r="S28"/>
      <c r="T28"/>
      <c r="U28"/>
      <c r="V28"/>
      <c r="W28"/>
      <c r="X28"/>
      <c r="Y28"/>
      <c r="Z28"/>
      <c r="AA28"/>
      <c r="AB28"/>
      <c r="AC28"/>
    </row>
    <row r="29" spans="1:29" ht="17.25" customHeight="1" thickBot="1" x14ac:dyDescent="0.25">
      <c r="A29" s="26" t="s">
        <v>21</v>
      </c>
      <c r="B29" s="43"/>
      <c r="C29" s="43"/>
      <c r="D29" s="43"/>
      <c r="E29" s="43"/>
      <c r="F29" s="43"/>
      <c r="G29"/>
      <c r="H29"/>
      <c r="I29"/>
      <c r="J29"/>
      <c r="K29">
        <v>250</v>
      </c>
      <c r="L29"/>
      <c r="M29"/>
      <c r="N29"/>
      <c r="O29"/>
      <c r="P29"/>
      <c r="Q29"/>
      <c r="R29"/>
      <c r="S29"/>
      <c r="T29"/>
      <c r="U29"/>
      <c r="V29"/>
      <c r="W29"/>
      <c r="X29"/>
      <c r="Y29"/>
      <c r="Z29"/>
      <c r="AA29"/>
      <c r="AB29"/>
      <c r="AC29"/>
    </row>
    <row r="30" spans="1:29" ht="17.25" customHeight="1" x14ac:dyDescent="0.2">
      <c r="A30" s="27" t="s">
        <v>24</v>
      </c>
      <c r="B30" s="65"/>
      <c r="C30" s="124" t="s">
        <v>17</v>
      </c>
      <c r="D30" s="125"/>
      <c r="E30" s="65"/>
      <c r="G30"/>
      <c r="H30"/>
      <c r="I30"/>
      <c r="J30"/>
      <c r="K30">
        <v>40</v>
      </c>
      <c r="L30"/>
      <c r="M30"/>
      <c r="N30"/>
      <c r="O30"/>
      <c r="P30"/>
      <c r="Q30"/>
      <c r="R30"/>
      <c r="S30"/>
      <c r="T30"/>
      <c r="U30"/>
      <c r="V30"/>
      <c r="W30"/>
      <c r="X30"/>
      <c r="Y30"/>
      <c r="Z30"/>
      <c r="AA30"/>
      <c r="AB30"/>
      <c r="AC30"/>
    </row>
    <row r="31" spans="1:29" ht="17.25" customHeight="1" x14ac:dyDescent="0.2">
      <c r="A31" s="27" t="s">
        <v>25</v>
      </c>
      <c r="B31" s="65"/>
      <c r="C31" s="126" t="s">
        <v>30</v>
      </c>
      <c r="D31" s="127"/>
      <c r="E31" s="66"/>
      <c r="F31"/>
      <c r="G31"/>
      <c r="H31"/>
      <c r="I31"/>
      <c r="J31"/>
      <c r="K31">
        <v>250</v>
      </c>
      <c r="L31"/>
      <c r="M31"/>
      <c r="N31"/>
      <c r="O31"/>
      <c r="P31"/>
      <c r="Q31"/>
      <c r="R31"/>
      <c r="S31"/>
      <c r="T31"/>
      <c r="U31"/>
      <c r="V31"/>
      <c r="W31"/>
      <c r="X31"/>
      <c r="Y31"/>
      <c r="Z31"/>
      <c r="AA31"/>
      <c r="AB31"/>
      <c r="AC31"/>
    </row>
    <row r="32" spans="1:29" ht="37.5" customHeight="1" x14ac:dyDescent="0.2">
      <c r="A32" s="121" t="s">
        <v>31</v>
      </c>
      <c r="B32" s="121"/>
      <c r="C32" s="121"/>
      <c r="D32" s="121"/>
      <c r="E32" s="121"/>
      <c r="F32" s="44" t="s">
        <v>69</v>
      </c>
      <c r="G32"/>
      <c r="H32"/>
      <c r="I32"/>
      <c r="J32"/>
      <c r="K32">
        <v>50</v>
      </c>
      <c r="L32"/>
      <c r="M32"/>
      <c r="N32"/>
      <c r="O32"/>
      <c r="P32"/>
      <c r="Q32"/>
      <c r="R32"/>
      <c r="S32"/>
      <c r="T32"/>
      <c r="U32"/>
      <c r="V32"/>
      <c r="W32"/>
      <c r="X32"/>
      <c r="Y32"/>
      <c r="Z32"/>
      <c r="AA32"/>
      <c r="AB32"/>
      <c r="AC32"/>
    </row>
    <row r="33" spans="1:27" x14ac:dyDescent="0.2">
      <c r="A33"/>
      <c r="B33"/>
      <c r="C33"/>
      <c r="D33"/>
      <c r="E33"/>
      <c r="F33" s="28"/>
      <c r="G33"/>
      <c r="H33"/>
      <c r="I33"/>
      <c r="J33"/>
      <c r="K33"/>
      <c r="L33"/>
      <c r="M33"/>
      <c r="N33"/>
      <c r="O33"/>
      <c r="P33"/>
      <c r="Q33"/>
      <c r="R33"/>
      <c r="S33"/>
      <c r="T33"/>
      <c r="U33"/>
      <c r="V33"/>
      <c r="W33"/>
      <c r="X33"/>
      <c r="Y33"/>
      <c r="Z33"/>
      <c r="AA33"/>
    </row>
    <row r="34" spans="1:27" x14ac:dyDescent="0.2">
      <c r="A34"/>
      <c r="B34"/>
      <c r="C34"/>
      <c r="D34"/>
      <c r="E34"/>
      <c r="F34"/>
      <c r="G34"/>
      <c r="H34"/>
      <c r="I34"/>
      <c r="J34"/>
      <c r="K34">
        <v>31</v>
      </c>
      <c r="L34"/>
      <c r="M34"/>
      <c r="N34"/>
      <c r="O34"/>
      <c r="P34"/>
      <c r="Q34"/>
      <c r="R34"/>
      <c r="S34"/>
      <c r="T34"/>
      <c r="U34"/>
      <c r="V34"/>
      <c r="W34"/>
      <c r="X34"/>
      <c r="Y34"/>
      <c r="Z34"/>
      <c r="AA34"/>
    </row>
    <row r="35" spans="1:27" x14ac:dyDescent="0.2">
      <c r="A35"/>
      <c r="B35"/>
      <c r="C35"/>
      <c r="D35"/>
      <c r="E35"/>
      <c r="F35"/>
      <c r="G35"/>
      <c r="H35"/>
      <c r="I35"/>
      <c r="J35"/>
      <c r="K35"/>
      <c r="L35"/>
      <c r="M35"/>
      <c r="N35"/>
      <c r="O35"/>
      <c r="P35"/>
      <c r="Q35"/>
      <c r="R35"/>
      <c r="S35"/>
      <c r="T35"/>
      <c r="U35"/>
      <c r="V35"/>
      <c r="W35"/>
      <c r="X35"/>
      <c r="Y35"/>
      <c r="Z35"/>
      <c r="AA35"/>
    </row>
    <row r="36" spans="1:27" x14ac:dyDescent="0.2">
      <c r="A36"/>
      <c r="B36"/>
      <c r="C36"/>
      <c r="D36"/>
      <c r="E36"/>
      <c r="F36"/>
      <c r="G36"/>
      <c r="H36"/>
      <c r="I36"/>
      <c r="J36"/>
      <c r="K36"/>
      <c r="L36"/>
      <c r="M36"/>
      <c r="N36"/>
      <c r="O36"/>
      <c r="P36"/>
      <c r="Q36"/>
      <c r="R36"/>
      <c r="S36"/>
      <c r="T36"/>
      <c r="U36"/>
      <c r="V36"/>
      <c r="W36"/>
      <c r="X36"/>
      <c r="Y36"/>
      <c r="Z36"/>
      <c r="AA36"/>
    </row>
    <row r="37" spans="1:27" x14ac:dyDescent="0.2">
      <c r="A37"/>
      <c r="B37"/>
      <c r="C37"/>
      <c r="D37"/>
      <c r="E37"/>
      <c r="F37"/>
      <c r="G37"/>
      <c r="H37"/>
      <c r="I37"/>
      <c r="J37"/>
      <c r="K37"/>
      <c r="L37"/>
      <c r="M37"/>
      <c r="N37"/>
      <c r="O37"/>
      <c r="P37"/>
      <c r="Q37"/>
      <c r="R37"/>
      <c r="S37"/>
      <c r="T37"/>
      <c r="U37"/>
      <c r="V37"/>
      <c r="W37"/>
      <c r="X37"/>
      <c r="Y37"/>
      <c r="Z37"/>
      <c r="AA37"/>
    </row>
    <row r="38" spans="1:27" x14ac:dyDescent="0.2">
      <c r="A38"/>
      <c r="B38"/>
      <c r="C38"/>
      <c r="D38"/>
      <c r="E38"/>
      <c r="F38"/>
      <c r="G38"/>
      <c r="H38"/>
      <c r="I38"/>
      <c r="J38"/>
      <c r="K38"/>
      <c r="L38"/>
      <c r="M38"/>
      <c r="N38"/>
      <c r="O38"/>
      <c r="P38"/>
      <c r="Q38"/>
      <c r="R38"/>
      <c r="S38"/>
      <c r="T38"/>
      <c r="U38"/>
      <c r="V38"/>
      <c r="W38"/>
      <c r="X38"/>
      <c r="Y38"/>
      <c r="Z38"/>
      <c r="AA38"/>
    </row>
    <row r="39" spans="1:27" x14ac:dyDescent="0.2">
      <c r="A39"/>
      <c r="B39"/>
      <c r="C39"/>
      <c r="D39"/>
      <c r="E39"/>
      <c r="F39"/>
      <c r="G39"/>
      <c r="H39"/>
      <c r="I39"/>
      <c r="J39"/>
      <c r="K39"/>
      <c r="L39"/>
      <c r="M39"/>
      <c r="N39"/>
      <c r="O39"/>
      <c r="P39"/>
      <c r="Q39"/>
      <c r="R39"/>
      <c r="S39"/>
      <c r="T39"/>
      <c r="U39"/>
      <c r="V39"/>
      <c r="W39"/>
      <c r="X39"/>
      <c r="Y39"/>
      <c r="Z39"/>
      <c r="AA39"/>
    </row>
    <row r="40" spans="1:27" x14ac:dyDescent="0.2">
      <c r="A40"/>
      <c r="B40"/>
      <c r="C40"/>
      <c r="D40"/>
      <c r="E40"/>
      <c r="F40"/>
      <c r="G40"/>
      <c r="H40"/>
      <c r="I40"/>
      <c r="J40"/>
      <c r="K40"/>
      <c r="L40"/>
      <c r="M40"/>
      <c r="N40"/>
      <c r="O40"/>
      <c r="P40"/>
      <c r="Q40"/>
      <c r="R40"/>
      <c r="S40"/>
      <c r="T40"/>
      <c r="U40"/>
      <c r="V40"/>
      <c r="W40"/>
      <c r="X40"/>
      <c r="Y40"/>
      <c r="Z40"/>
      <c r="AA40"/>
    </row>
    <row r="41" spans="1:27" x14ac:dyDescent="0.2">
      <c r="A41"/>
      <c r="B41"/>
      <c r="C41"/>
      <c r="D41"/>
      <c r="E41"/>
      <c r="F41"/>
      <c r="G41"/>
      <c r="H41"/>
      <c r="I41"/>
      <c r="J41"/>
      <c r="K41"/>
      <c r="L41"/>
      <c r="M41"/>
      <c r="N41"/>
      <c r="O41"/>
      <c r="P41"/>
      <c r="Q41"/>
      <c r="R41"/>
      <c r="S41"/>
      <c r="T41"/>
      <c r="U41"/>
      <c r="V41"/>
      <c r="W41"/>
      <c r="X41"/>
      <c r="Y41"/>
      <c r="Z41"/>
      <c r="AA41"/>
    </row>
  </sheetData>
  <sheetProtection selectLockedCells="1"/>
  <mergeCells count="7">
    <mergeCell ref="O4:O5"/>
    <mergeCell ref="N3:O3"/>
    <mergeCell ref="A32:E32"/>
    <mergeCell ref="A24:B24"/>
    <mergeCell ref="C30:D30"/>
    <mergeCell ref="C31:D31"/>
    <mergeCell ref="N4:N5"/>
  </mergeCells>
  <phoneticPr fontId="2" type="noConversion"/>
  <printOptions horizontalCentered="1"/>
  <pageMargins left="0.19685039370078741" right="0.19685039370078741" top="0.6692913385826772" bottom="0.98425196850393704" header="0.51181102362204722" footer="0.51181102362204722"/>
  <pageSetup paperSize="9" scale="98" orientation="portrait" r:id="rId1"/>
  <headerFooter alignWithMargins="0"/>
  <ignoredErrors>
    <ignoredError sqref="F17"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Fee Calculator</vt:lpstr>
      <vt:lpstr>'Fee Calculator'!Print_Area</vt:lpstr>
    </vt:vector>
  </TitlesOfParts>
  <Manager>pm</Manager>
  <Company>Tumut Shire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application fee calculator 0708</dc:title>
  <dc:creator>gmayes</dc:creator>
  <cp:lastModifiedBy>Delany, Fiona</cp:lastModifiedBy>
  <cp:lastPrinted>2024-08-01T05:26:06Z</cp:lastPrinted>
  <dcterms:created xsi:type="dcterms:W3CDTF">2006-08-02T05:13:59Z</dcterms:created>
  <dcterms:modified xsi:type="dcterms:W3CDTF">2024-08-01T05:43:11Z</dcterms:modified>
  <cp:category>application fee calculator</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2cb4b8d-ca21-4b2e-a1fe-d6f4fb628040_Enabled">
    <vt:lpwstr>true</vt:lpwstr>
  </property>
  <property fmtid="{D5CDD505-2E9C-101B-9397-08002B2CF9AE}" pid="3" name="MSIP_Label_e2cb4b8d-ca21-4b2e-a1fe-d6f4fb628040_SetDate">
    <vt:lpwstr>2023-01-09T04:05:56Z</vt:lpwstr>
  </property>
  <property fmtid="{D5CDD505-2E9C-101B-9397-08002B2CF9AE}" pid="4" name="MSIP_Label_e2cb4b8d-ca21-4b2e-a1fe-d6f4fb628040_Method">
    <vt:lpwstr>Standard</vt:lpwstr>
  </property>
  <property fmtid="{D5CDD505-2E9C-101B-9397-08002B2CF9AE}" pid="5" name="MSIP_Label_e2cb4b8d-ca21-4b2e-a1fe-d6f4fb628040_Name">
    <vt:lpwstr>defa4170-0d19-0005-0004-bc88714345d2</vt:lpwstr>
  </property>
  <property fmtid="{D5CDD505-2E9C-101B-9397-08002B2CF9AE}" pid="6" name="MSIP_Label_e2cb4b8d-ca21-4b2e-a1fe-d6f4fb628040_SiteId">
    <vt:lpwstr>b185bd14-8d2d-4fe8-b33c-16c053e97fb7</vt:lpwstr>
  </property>
  <property fmtid="{D5CDD505-2E9C-101B-9397-08002B2CF9AE}" pid="7" name="MSIP_Label_e2cb4b8d-ca21-4b2e-a1fe-d6f4fb628040_ActionId">
    <vt:lpwstr>d8ffe541-417f-4b5d-819c-0d7fec48dc2e</vt:lpwstr>
  </property>
  <property fmtid="{D5CDD505-2E9C-101B-9397-08002B2CF9AE}" pid="8" name="MSIP_Label_e2cb4b8d-ca21-4b2e-a1fe-d6f4fb628040_ContentBits">
    <vt:lpwstr>0</vt:lpwstr>
  </property>
</Properties>
</file>